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mpounds\Analysis\Photocatalysis\2019.07.29 HT 2mg CN 2mL 10mM EDTA (in-situ 1wt% Pt) N2 PDD (He)\"/>
    </mc:Choice>
  </mc:AlternateContent>
  <bookViews>
    <workbookView xWindow="0" yWindow="0" windowWidth="1944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K31" i="1"/>
  <c r="K30" i="1"/>
  <c r="K33" i="1"/>
  <c r="J33" i="1"/>
  <c r="K32" i="1"/>
  <c r="J30" i="1"/>
  <c r="G30" i="1"/>
  <c r="J31" i="1" l="1"/>
  <c r="H33" i="1"/>
  <c r="H32" i="1"/>
  <c r="H31" i="1"/>
  <c r="H30" i="1"/>
  <c r="G33" i="1"/>
  <c r="G32" i="1"/>
  <c r="G31" i="1"/>
  <c r="F31" i="1"/>
  <c r="F32" i="1"/>
  <c r="F33" i="1"/>
  <c r="F34" i="1"/>
  <c r="F35" i="1"/>
  <c r="F36" i="1"/>
  <c r="F37" i="1"/>
  <c r="F30" i="1"/>
  <c r="E25" i="1" l="1"/>
  <c r="E26" i="1"/>
  <c r="J23" i="1"/>
  <c r="K23" i="1"/>
  <c r="L23" i="1"/>
  <c r="J24" i="1"/>
  <c r="K24" i="1"/>
  <c r="L24" i="1"/>
  <c r="J25" i="1"/>
  <c r="K25" i="1"/>
  <c r="L25" i="1"/>
  <c r="J26" i="1"/>
  <c r="K26" i="1"/>
  <c r="L26" i="1"/>
  <c r="E24" i="1"/>
  <c r="J19" i="1"/>
  <c r="L19" i="1"/>
  <c r="E23" i="1"/>
  <c r="V26" i="1" l="1"/>
  <c r="V25" i="1"/>
  <c r="V24" i="1"/>
  <c r="V23" i="1"/>
  <c r="V20" i="1" l="1"/>
  <c r="V21" i="1"/>
  <c r="V22" i="1"/>
  <c r="V19" i="1"/>
  <c r="E19" i="1" l="1"/>
  <c r="K19" i="1"/>
  <c r="E20" i="1"/>
  <c r="J20" i="1"/>
  <c r="K20" i="1"/>
  <c r="E21" i="1"/>
  <c r="J21" i="1"/>
  <c r="K21" i="1"/>
  <c r="E22" i="1"/>
  <c r="J22" i="1"/>
  <c r="K22" i="1"/>
  <c r="B10" i="1" l="1"/>
  <c r="B14" i="1" s="1"/>
  <c r="B8" i="1"/>
  <c r="B15" i="1" l="1"/>
  <c r="J3" i="1" l="1"/>
  <c r="D8" i="1" l="1"/>
  <c r="C8" i="1" l="1"/>
  <c r="G4" i="1" l="1"/>
  <c r="G6" i="1" s="1"/>
  <c r="M26" i="1" l="1"/>
  <c r="M24" i="1"/>
  <c r="M23" i="1"/>
  <c r="M25" i="1"/>
  <c r="P25" i="1" s="1"/>
  <c r="S25" i="1" s="1"/>
  <c r="M19" i="1"/>
  <c r="J4" i="1"/>
  <c r="L21" i="1"/>
  <c r="L22" i="1"/>
  <c r="P23" i="1" l="1"/>
  <c r="S23" i="1" s="1"/>
  <c r="P24" i="1"/>
  <c r="S24" i="1" s="1"/>
  <c r="P26" i="1"/>
  <c r="S26" i="1" s="1"/>
  <c r="P19" i="1"/>
  <c r="S19" i="1" s="1"/>
  <c r="D10" i="1"/>
  <c r="D14" i="1" s="1"/>
  <c r="D15" i="1" s="1"/>
  <c r="C10" i="1"/>
  <c r="C14" i="1" s="1"/>
  <c r="C15" i="1" s="1"/>
  <c r="N23" i="1" l="1"/>
  <c r="Q23" i="1" s="1"/>
  <c r="T23" i="1" s="1"/>
  <c r="N26" i="1"/>
  <c r="Q26" i="1" s="1"/>
  <c r="T26" i="1" s="1"/>
  <c r="N24" i="1"/>
  <c r="Q24" i="1" s="1"/>
  <c r="T24" i="1" s="1"/>
  <c r="N25" i="1"/>
  <c r="Q25" i="1" s="1"/>
  <c r="T25" i="1" s="1"/>
  <c r="O25" i="1"/>
  <c r="R25" i="1" s="1"/>
  <c r="U25" i="1" s="1"/>
  <c r="O26" i="1"/>
  <c r="R26" i="1" s="1"/>
  <c r="U26" i="1" s="1"/>
  <c r="O24" i="1"/>
  <c r="R24" i="1" s="1"/>
  <c r="U24" i="1" s="1"/>
  <c r="O23" i="1"/>
  <c r="R23" i="1" s="1"/>
  <c r="U23" i="1" s="1"/>
  <c r="M21" i="1"/>
  <c r="P21" i="1" s="1"/>
  <c r="S21" i="1" s="1"/>
  <c r="N21" i="1"/>
  <c r="Q21" i="1" s="1"/>
  <c r="T21" i="1" s="1"/>
  <c r="O21" i="1" l="1"/>
  <c r="R21" i="1" s="1"/>
  <c r="U21" i="1" s="1"/>
  <c r="M22" i="1"/>
  <c r="P22" i="1" s="1"/>
  <c r="S22" i="1" s="1"/>
  <c r="N22" i="1"/>
  <c r="Q22" i="1" s="1"/>
  <c r="T22" i="1" s="1"/>
  <c r="O22" i="1"/>
  <c r="R22" i="1" s="1"/>
  <c r="U22" i="1" s="1"/>
  <c r="M20" i="1"/>
  <c r="P20" i="1" s="1"/>
  <c r="S20" i="1" s="1"/>
  <c r="L20" i="1"/>
  <c r="O20" i="1" s="1"/>
  <c r="R20" i="1" s="1"/>
  <c r="U20" i="1" s="1"/>
  <c r="N20" i="1"/>
  <c r="Q20" i="1" s="1"/>
  <c r="T20" i="1" s="1"/>
  <c r="O19" i="1" l="1"/>
  <c r="R19" i="1" s="1"/>
  <c r="U19" i="1" s="1"/>
  <c r="N19" i="1"/>
  <c r="Q19" i="1" s="1"/>
  <c r="T19" i="1" s="1"/>
  <c r="B3" i="1" l="1"/>
</calcChain>
</file>

<file path=xl/sharedStrings.xml><?xml version="1.0" encoding="utf-8"?>
<sst xmlns="http://schemas.openxmlformats.org/spreadsheetml/2006/main" count="105" uniqueCount="64">
  <si>
    <t>Callibration Gas</t>
  </si>
  <si>
    <t>Area of peak</t>
  </si>
  <si>
    <t>H2</t>
  </si>
  <si>
    <t>CO</t>
  </si>
  <si>
    <t>CH4</t>
  </si>
  <si>
    <t>MW (g/mol)</t>
  </si>
  <si>
    <t>Area of H2</t>
  </si>
  <si>
    <t>Area of CH4</t>
  </si>
  <si>
    <t>Area of CO</t>
  </si>
  <si>
    <t>Amount of H2 (umol)</t>
  </si>
  <si>
    <t>Amount of CH4 (umol)</t>
  </si>
  <si>
    <t>Amount of CO (umol)</t>
  </si>
  <si>
    <t>Range</t>
  </si>
  <si>
    <t>Signal</t>
  </si>
  <si>
    <t>Actual</t>
  </si>
  <si>
    <t>Volume of headspace</t>
  </si>
  <si>
    <t>Conc. (ppm or uL/L)</t>
  </si>
  <si>
    <t>Sample injected (uL)</t>
  </si>
  <si>
    <r>
      <t xml:space="preserve">Volume of gas, </t>
    </r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(uL)</t>
    </r>
  </si>
  <si>
    <r>
      <t xml:space="preserve">Temperature,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(K)</t>
    </r>
  </si>
  <si>
    <r>
      <t xml:space="preserve">Pressure,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(Pa)</t>
    </r>
  </si>
  <si>
    <t>Gas Constant, R (J/K/mol)</t>
  </si>
  <si>
    <r>
      <t xml:space="preserve">Amount of gas,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(umol)</t>
    </r>
  </si>
  <si>
    <t>***umol per peak area</t>
  </si>
  <si>
    <t>Total headspace</t>
  </si>
  <si>
    <t>Amount of H2 (umol/g)</t>
  </si>
  <si>
    <t>Amount of CH4 (umol/g)</t>
  </si>
  <si>
    <t>Amount of CO (umol/g)</t>
  </si>
  <si>
    <t>Amount of photocatalyst</t>
  </si>
  <si>
    <t>mg</t>
  </si>
  <si>
    <t>g</t>
  </si>
  <si>
    <t>Headspace : sample</t>
  </si>
  <si>
    <t>1g : sample</t>
  </si>
  <si>
    <t xml:space="preserve">Volume of Solvent </t>
  </si>
  <si>
    <t>Reactor volume</t>
  </si>
  <si>
    <t>mL</t>
  </si>
  <si>
    <t xml:space="preserve">Sample taken </t>
  </si>
  <si>
    <t>uL</t>
  </si>
  <si>
    <t>Actual Area of Peak</t>
  </si>
  <si>
    <t>Notes</t>
  </si>
  <si>
    <t>1 m^3 = 1000 L</t>
  </si>
  <si>
    <t>Vial position</t>
  </si>
  <si>
    <t>Sample</t>
  </si>
  <si>
    <t>Amount of H2 (umol/g/h)</t>
  </si>
  <si>
    <t>Amount of CH4 (umol/g/h)</t>
  </si>
  <si>
    <t>Amount of CO (umol/g/h)</t>
  </si>
  <si>
    <t>Time Started</t>
  </si>
  <si>
    <t>Time Ended</t>
  </si>
  <si>
    <t>Length of Experiment (hours)</t>
  </si>
  <si>
    <t>2mg photocat, 2mL 10mM EDTA, in glass vial, CO2 purged pH 4.??, LED Lamp  (~100 mW cm-2)</t>
  </si>
  <si>
    <t>Vial</t>
  </si>
  <si>
    <t>Position</t>
  </si>
  <si>
    <t>Solution</t>
  </si>
  <si>
    <t>Gas</t>
  </si>
  <si>
    <t>N2</t>
  </si>
  <si>
    <t xml:space="preserve">10mM EDTA with  1wt% Pt </t>
  </si>
  <si>
    <t>6Y1</t>
  </si>
  <si>
    <t>6A5A</t>
  </si>
  <si>
    <t>6A6A</t>
  </si>
  <si>
    <t>6A7A</t>
  </si>
  <si>
    <t>-</t>
  </si>
  <si>
    <t>2019.05.22 - Thermally oxidised CN EDTA Pt N2
Using the PDD detector and He carrier gas
One point calibration - 24_07_2019 Verity  (Cooper Group Calibration Gas)
Notes:
Vial 4 spent an unknown time not under illumination - perhaps around 45min or so, so may have to discount 
Due to confusion on range, vial 1 was injected several times, so there is probably a very large error on this value, will likely have to ignore this one</t>
  </si>
  <si>
    <t>H2 Production</t>
  </si>
  <si>
    <t>CO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</si>
</sst>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0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9</xdr:row>
      <xdr:rowOff>161926</xdr:rowOff>
    </xdr:from>
    <xdr:to>
      <xdr:col>4</xdr:col>
      <xdr:colOff>933450</xdr:colOff>
      <xdr:row>12</xdr:row>
      <xdr:rowOff>9526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353175" y="1876426"/>
              <a:ext cx="828675" cy="419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/>
                      </a:rPr>
                      <m:t>𝑛</m:t>
                    </m:r>
                    <m:r>
                      <a:rPr lang="en-GB" sz="1100" b="0" i="1">
                        <a:latin typeface="Cambria Math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/>
                          </a:rPr>
                          <m:t>𝑝𝑉</m:t>
                        </m:r>
                      </m:num>
                      <m:den>
                        <m:r>
                          <a:rPr lang="en-GB" sz="1100" b="0" i="1">
                            <a:latin typeface="Cambria Math"/>
                          </a:rPr>
                          <m:t>𝑅𝑇</m:t>
                        </m:r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353175" y="1876426"/>
              <a:ext cx="828675" cy="419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GB" sz="1100" b="0" i="0">
                  <a:latin typeface="Cambria Math"/>
                </a:rPr>
                <a:t>𝑛=  𝑝𝑉/𝑅𝑇</a:t>
              </a:r>
              <a:endParaRPr lang="en-GB" sz="11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7"/>
  <sheetViews>
    <sheetView tabSelected="1" topLeftCell="G9" workbookViewId="0">
      <selection activeCell="J30" sqref="J30:K33"/>
    </sheetView>
  </sheetViews>
  <sheetFormatPr defaultColWidth="20.7109375" defaultRowHeight="15" x14ac:dyDescent="0.25"/>
  <cols>
    <col min="1" max="1" width="23.42578125" style="1" customWidth="1"/>
    <col min="2" max="4" width="21.7109375" style="1" customWidth="1"/>
    <col min="5" max="5" width="15.28515625" style="1" customWidth="1"/>
    <col min="6" max="6" width="20" style="1" customWidth="1"/>
    <col min="7" max="21" width="12.85546875" style="1" customWidth="1"/>
    <col min="22" max="16384" width="20.7109375" style="1"/>
  </cols>
  <sheetData>
    <row r="2" spans="1:20" ht="15.75" customHeight="1" x14ac:dyDescent="0.25">
      <c r="A2" s="1" t="s">
        <v>0</v>
      </c>
      <c r="B2" s="1" t="s">
        <v>2</v>
      </c>
      <c r="C2" s="1" t="s">
        <v>4</v>
      </c>
      <c r="D2" s="1" t="s">
        <v>3</v>
      </c>
      <c r="F2" s="1" t="s">
        <v>34</v>
      </c>
      <c r="G2" s="1">
        <v>5</v>
      </c>
      <c r="H2" s="1" t="s">
        <v>35</v>
      </c>
      <c r="I2" s="9" t="s">
        <v>28</v>
      </c>
      <c r="J2" s="1">
        <v>2</v>
      </c>
      <c r="K2" s="1" t="s">
        <v>29</v>
      </c>
      <c r="Q2" s="3"/>
      <c r="R2" s="3"/>
      <c r="S2" s="3"/>
      <c r="T2" s="2"/>
    </row>
    <row r="3" spans="1:20" x14ac:dyDescent="0.25">
      <c r="A3" s="1" t="s">
        <v>5</v>
      </c>
      <c r="B3" s="2">
        <f>1.00794*2</f>
        <v>2.0158800000000001</v>
      </c>
      <c r="C3" s="2">
        <v>16.04</v>
      </c>
      <c r="D3" s="2">
        <v>28.01</v>
      </c>
      <c r="F3" s="1" t="s">
        <v>33</v>
      </c>
      <c r="G3" s="1">
        <v>2</v>
      </c>
      <c r="H3" s="1" t="s">
        <v>35</v>
      </c>
      <c r="I3" s="9"/>
      <c r="J3" s="1">
        <f>J2/1000</f>
        <v>2E-3</v>
      </c>
      <c r="K3" s="1" t="s">
        <v>30</v>
      </c>
      <c r="Q3" s="3"/>
      <c r="R3" s="3"/>
      <c r="S3" s="3"/>
      <c r="T3" s="2"/>
    </row>
    <row r="4" spans="1:20" ht="30" x14ac:dyDescent="0.25">
      <c r="A4" s="1" t="s">
        <v>16</v>
      </c>
      <c r="B4" s="1">
        <v>510</v>
      </c>
      <c r="C4" s="1">
        <v>513</v>
      </c>
      <c r="D4" s="1">
        <v>510</v>
      </c>
      <c r="F4" s="1" t="s">
        <v>15</v>
      </c>
      <c r="G4" s="1">
        <f>G2-G3</f>
        <v>3</v>
      </c>
      <c r="H4" s="1" t="s">
        <v>35</v>
      </c>
      <c r="I4" s="1" t="s">
        <v>32</v>
      </c>
      <c r="J4" s="1">
        <f>1/J3</f>
        <v>500</v>
      </c>
    </row>
    <row r="5" spans="1:20" x14ac:dyDescent="0.25">
      <c r="A5" s="1" t="s">
        <v>17</v>
      </c>
      <c r="B5" s="9">
        <v>100</v>
      </c>
      <c r="C5" s="9"/>
      <c r="D5" s="9"/>
      <c r="F5" s="1" t="s">
        <v>36</v>
      </c>
      <c r="G5" s="1">
        <v>500</v>
      </c>
      <c r="H5" s="1" t="s">
        <v>37</v>
      </c>
    </row>
    <row r="6" spans="1:20" x14ac:dyDescent="0.25">
      <c r="A6" s="1" t="s">
        <v>1</v>
      </c>
      <c r="B6">
        <v>700.79399999999998</v>
      </c>
      <c r="C6" t="s">
        <v>60</v>
      </c>
      <c r="D6">
        <v>3008.5070000000001</v>
      </c>
      <c r="F6" s="1" t="s">
        <v>31</v>
      </c>
      <c r="G6" s="1">
        <f>G4/(G5/1000)</f>
        <v>6</v>
      </c>
    </row>
    <row r="7" spans="1:20" x14ac:dyDescent="0.25">
      <c r="A7" s="1" t="s">
        <v>12</v>
      </c>
      <c r="B7" s="9">
        <v>3</v>
      </c>
      <c r="C7" s="9"/>
      <c r="D7" s="9"/>
    </row>
    <row r="8" spans="1:20" x14ac:dyDescent="0.25">
      <c r="A8" s="1" t="s">
        <v>38</v>
      </c>
      <c r="B8" s="1">
        <f>B6*(2^$B$7)</f>
        <v>5606.3519999999999</v>
      </c>
      <c r="C8" s="1" t="e">
        <f t="shared" ref="C8" si="0">C6*(2^$B$7)</f>
        <v>#VALUE!</v>
      </c>
      <c r="D8" s="1">
        <f>D6*(2^$B$7)</f>
        <v>24068.056</v>
      </c>
      <c r="H8" s="9" t="s">
        <v>39</v>
      </c>
      <c r="I8" s="9"/>
      <c r="J8" s="9"/>
      <c r="K8" s="9"/>
      <c r="L8" s="9"/>
      <c r="M8" s="9"/>
      <c r="N8" s="9"/>
      <c r="O8" s="9"/>
    </row>
    <row r="9" spans="1:20" ht="15" customHeight="1" x14ac:dyDescent="0.25">
      <c r="H9" s="10" t="s">
        <v>61</v>
      </c>
      <c r="I9" s="10"/>
      <c r="J9" s="10"/>
      <c r="K9" s="10"/>
      <c r="L9" s="10"/>
      <c r="M9" s="10"/>
      <c r="N9" s="10"/>
      <c r="O9" s="10"/>
    </row>
    <row r="10" spans="1:20" x14ac:dyDescent="0.25">
      <c r="A10" s="1" t="s">
        <v>18</v>
      </c>
      <c r="B10" s="1">
        <f>(B4*(B5/1000000))</f>
        <v>5.1000000000000004E-2</v>
      </c>
      <c r="C10" s="1">
        <f>(C4*(B5/1000000))</f>
        <v>5.1300000000000005E-2</v>
      </c>
      <c r="D10" s="1">
        <f>(D4*(B5/1000000))</f>
        <v>5.1000000000000004E-2</v>
      </c>
      <c r="F10" s="1" t="s">
        <v>40</v>
      </c>
      <c r="H10" s="10"/>
      <c r="I10" s="10"/>
      <c r="J10" s="10"/>
      <c r="K10" s="10"/>
      <c r="L10" s="10"/>
      <c r="M10" s="10"/>
      <c r="N10" s="10"/>
      <c r="O10" s="10"/>
    </row>
    <row r="11" spans="1:20" x14ac:dyDescent="0.25">
      <c r="A11" s="1" t="s">
        <v>19</v>
      </c>
      <c r="B11" s="1">
        <v>293</v>
      </c>
      <c r="C11" s="1">
        <v>293</v>
      </c>
      <c r="D11" s="1">
        <v>293</v>
      </c>
      <c r="H11" s="10"/>
      <c r="I11" s="10"/>
      <c r="J11" s="10"/>
      <c r="K11" s="10"/>
      <c r="L11" s="10"/>
      <c r="M11" s="10"/>
      <c r="N11" s="10"/>
      <c r="O11" s="10"/>
    </row>
    <row r="12" spans="1:20" x14ac:dyDescent="0.25">
      <c r="A12" s="1" t="s">
        <v>20</v>
      </c>
      <c r="B12" s="1">
        <v>101325</v>
      </c>
      <c r="C12" s="1">
        <v>101325</v>
      </c>
      <c r="D12" s="1">
        <v>101325</v>
      </c>
      <c r="H12" s="10"/>
      <c r="I12" s="10"/>
      <c r="J12" s="10"/>
      <c r="K12" s="10"/>
      <c r="L12" s="10"/>
      <c r="M12" s="10"/>
      <c r="N12" s="10"/>
      <c r="O12" s="10"/>
    </row>
    <row r="13" spans="1:20" ht="30" x14ac:dyDescent="0.25">
      <c r="A13" s="1" t="s">
        <v>21</v>
      </c>
      <c r="B13" s="1">
        <v>8.3144100000000005</v>
      </c>
      <c r="C13" s="1">
        <v>8.3144100000000005</v>
      </c>
      <c r="D13" s="1">
        <v>8.3144100000000005</v>
      </c>
      <c r="H13" s="10"/>
      <c r="I13" s="10"/>
      <c r="J13" s="10"/>
      <c r="K13" s="10"/>
      <c r="L13" s="10"/>
      <c r="M13" s="10"/>
      <c r="N13" s="10"/>
      <c r="O13" s="10"/>
    </row>
    <row r="14" spans="1:20" x14ac:dyDescent="0.25">
      <c r="A14" s="1" t="s">
        <v>22</v>
      </c>
      <c r="B14" s="1">
        <f>((B12*(B10/1000000000))/(B13*B11))*1000000</f>
        <v>2.1212298580449247E-3</v>
      </c>
      <c r="C14" s="1">
        <f>((C12*(C10/1000000000))/(C13*C11))*1000000</f>
        <v>2.1337076807393068E-3</v>
      </c>
      <c r="D14" s="1">
        <f>((D12*(D10/1000000000))/(D13*D11))*1000000</f>
        <v>2.1212298580449247E-3</v>
      </c>
      <c r="H14" s="10"/>
      <c r="I14" s="10"/>
      <c r="J14" s="10"/>
      <c r="K14" s="10"/>
      <c r="L14" s="10"/>
      <c r="M14" s="10"/>
      <c r="N14" s="10"/>
      <c r="O14" s="10"/>
    </row>
    <row r="15" spans="1:20" x14ac:dyDescent="0.25">
      <c r="A15" s="1" t="s">
        <v>23</v>
      </c>
      <c r="B15" s="1">
        <f>B14/B8</f>
        <v>3.783618756091171E-7</v>
      </c>
      <c r="C15" s="1" t="e">
        <f>C14/C8</f>
        <v>#VALUE!</v>
      </c>
      <c r="D15" s="1">
        <f>D14/D8</f>
        <v>8.8134656909761412E-8</v>
      </c>
      <c r="H15" s="10"/>
      <c r="I15" s="10"/>
      <c r="J15" s="10"/>
      <c r="K15" s="10"/>
      <c r="L15" s="10"/>
      <c r="M15" s="10"/>
      <c r="N15" s="10"/>
      <c r="O15" s="10"/>
    </row>
    <row r="17" spans="1:22" ht="36" customHeight="1" x14ac:dyDescent="0.25">
      <c r="A17" s="9" t="s">
        <v>49</v>
      </c>
      <c r="B17" s="9"/>
      <c r="C17" s="9"/>
      <c r="G17" s="1" t="s">
        <v>13</v>
      </c>
      <c r="J17" s="1" t="s">
        <v>14</v>
      </c>
      <c r="M17" s="1" t="s">
        <v>24</v>
      </c>
    </row>
    <row r="18" spans="1:22" ht="45" x14ac:dyDescent="0.25">
      <c r="A18" s="1" t="s">
        <v>41</v>
      </c>
      <c r="B18" s="1" t="s">
        <v>42</v>
      </c>
      <c r="C18" s="1" t="s">
        <v>46</v>
      </c>
      <c r="D18" s="1" t="s">
        <v>47</v>
      </c>
      <c r="E18" s="1" t="s">
        <v>48</v>
      </c>
      <c r="F18" s="1" t="s">
        <v>12</v>
      </c>
      <c r="G18" s="1" t="s">
        <v>6</v>
      </c>
      <c r="H18" s="1" t="s">
        <v>7</v>
      </c>
      <c r="I18" s="1" t="s">
        <v>8</v>
      </c>
      <c r="J18" s="1" t="s">
        <v>6</v>
      </c>
      <c r="K18" s="1" t="s">
        <v>7</v>
      </c>
      <c r="L18" s="1" t="s">
        <v>8</v>
      </c>
      <c r="M18" s="1" t="s">
        <v>9</v>
      </c>
      <c r="N18" s="1" t="s">
        <v>10</v>
      </c>
      <c r="O18" s="1" t="s">
        <v>11</v>
      </c>
      <c r="P18" s="1" t="s">
        <v>25</v>
      </c>
      <c r="Q18" s="1" t="s">
        <v>26</v>
      </c>
      <c r="R18" s="1" t="s">
        <v>27</v>
      </c>
      <c r="S18" s="1" t="s">
        <v>43</v>
      </c>
      <c r="T18" s="1" t="s">
        <v>44</v>
      </c>
      <c r="U18" s="1" t="s">
        <v>45</v>
      </c>
    </row>
    <row r="19" spans="1:22" ht="17.25" customHeight="1" x14ac:dyDescent="0.25">
      <c r="A19" s="4">
        <v>1</v>
      </c>
      <c r="B19" s="7" t="s">
        <v>56</v>
      </c>
      <c r="C19" s="3">
        <v>0.4604166666666667</v>
      </c>
      <c r="D19" s="3">
        <v>0.62847222222222221</v>
      </c>
      <c r="E19" s="2">
        <f>(D19-C19)*24</f>
        <v>4.0333333333333323</v>
      </c>
      <c r="F19">
        <v>7</v>
      </c>
      <c r="G19">
        <v>1697.087</v>
      </c>
      <c r="H19" t="s">
        <v>60</v>
      </c>
      <c r="I19">
        <v>3.403</v>
      </c>
      <c r="J19" s="1">
        <f>G19*(2^(F19))</f>
        <v>217227.136</v>
      </c>
      <c r="K19" s="1" t="e">
        <f>H19*(2^(F19))</f>
        <v>#VALUE!</v>
      </c>
      <c r="L19" s="1">
        <f>I19*(2^(F19))</f>
        <v>435.584</v>
      </c>
      <c r="M19" s="1">
        <f>J19*$B$15*$G$6</f>
        <v>0.49314279966094055</v>
      </c>
      <c r="N19" s="1" t="e">
        <f>K19*$C$15*$G$6</f>
        <v>#VALUE!</v>
      </c>
      <c r="O19" s="1">
        <f>L19*$D$15*$G$6</f>
        <v>2.3034027837228911E-4</v>
      </c>
      <c r="P19" s="1">
        <f>M19*$J$4</f>
        <v>246.57139983047028</v>
      </c>
      <c r="Q19" s="1" t="e">
        <f>N19*$J$4</f>
        <v>#VALUE!</v>
      </c>
      <c r="R19" s="1">
        <f>O19*$J$4</f>
        <v>0.11517013918614455</v>
      </c>
      <c r="S19" s="1">
        <f>P19/$E$19</f>
        <v>61.133404916645539</v>
      </c>
      <c r="T19" s="1" t="e">
        <f t="shared" ref="T19" si="1">Q19/$E$19</f>
        <v>#VALUE!</v>
      </c>
      <c r="U19" s="1">
        <f>R19/$E$19</f>
        <v>2.855457996350692E-2</v>
      </c>
      <c r="V19" s="1">
        <f>A19</f>
        <v>1</v>
      </c>
    </row>
    <row r="20" spans="1:22" ht="17.25" customHeight="1" x14ac:dyDescent="0.25">
      <c r="A20" s="4">
        <v>2</v>
      </c>
      <c r="B20" s="7" t="s">
        <v>57</v>
      </c>
      <c r="C20" s="3">
        <v>0.47083333333333338</v>
      </c>
      <c r="D20" s="3">
        <v>0.65208333333333335</v>
      </c>
      <c r="E20" s="2">
        <f t="shared" ref="E20:E26" si="2">(D20-C20)*24</f>
        <v>4.3499999999999996</v>
      </c>
      <c r="F20">
        <v>9</v>
      </c>
      <c r="G20">
        <v>1786.9469999999999</v>
      </c>
      <c r="H20" t="s">
        <v>60</v>
      </c>
      <c r="I20">
        <v>2.0219999999999998</v>
      </c>
      <c r="J20" s="1">
        <f>G20*(2^(F20))</f>
        <v>914916.86399999994</v>
      </c>
      <c r="K20" s="1" t="e">
        <f>H20*(2^(F20))</f>
        <v>#VALUE!</v>
      </c>
      <c r="L20" s="1">
        <f>I20*(2^(F20))</f>
        <v>1035.2639999999999</v>
      </c>
      <c r="M20" s="1">
        <f t="shared" ref="M20" si="3">J20*$B$15*$G$6</f>
        <v>2.0770179641367088</v>
      </c>
      <c r="N20" s="1" t="e">
        <f t="shared" ref="N20:N21" si="4">K20*$C$15*$G$6</f>
        <v>#VALUE!</v>
      </c>
      <c r="O20" s="1">
        <f t="shared" ref="O20:O21" si="5">L20*$D$15*$G$6</f>
        <v>5.4745582470616335E-4</v>
      </c>
      <c r="P20" s="1">
        <f t="shared" ref="P20:P22" si="6">M20*$J$4</f>
        <v>1038.5089820683545</v>
      </c>
      <c r="Q20" s="1" t="e">
        <f t="shared" ref="Q20:Q22" si="7">N20*$J$4</f>
        <v>#VALUE!</v>
      </c>
      <c r="R20" s="1">
        <f t="shared" ref="R20:R22" si="8">O20*$J$4</f>
        <v>0.27372791235308169</v>
      </c>
      <c r="S20" s="1">
        <f>P20/$E$20</f>
        <v>238.73769702720796</v>
      </c>
      <c r="T20" s="1" t="e">
        <f>Q20/$E$20</f>
        <v>#VALUE!</v>
      </c>
      <c r="U20" s="1">
        <f>R20/$E$20</f>
        <v>6.292595686277741E-2</v>
      </c>
      <c r="V20" s="1">
        <f t="shared" ref="V20:V26" si="9">A20</f>
        <v>2</v>
      </c>
    </row>
    <row r="21" spans="1:22" ht="17.25" customHeight="1" x14ac:dyDescent="0.25">
      <c r="A21" s="4">
        <v>3</v>
      </c>
      <c r="B21" s="7" t="s">
        <v>58</v>
      </c>
      <c r="C21" s="3">
        <v>0.48125000000000001</v>
      </c>
      <c r="D21" s="3">
        <v>0.66527777777777775</v>
      </c>
      <c r="E21" s="2">
        <f t="shared" si="2"/>
        <v>4.4166666666666661</v>
      </c>
      <c r="F21">
        <v>9</v>
      </c>
      <c r="G21">
        <v>1581.29</v>
      </c>
      <c r="H21" s="1" t="s">
        <v>60</v>
      </c>
      <c r="I21">
        <v>1.224</v>
      </c>
      <c r="J21" s="1">
        <f t="shared" ref="J21:J22" si="10">G21*(2^(F21))</f>
        <v>809620.47999999998</v>
      </c>
      <c r="K21" s="1" t="e">
        <f t="shared" ref="K21:K22" si="11">H21*(2^(F21))</f>
        <v>#VALUE!</v>
      </c>
      <c r="L21" s="1">
        <f t="shared" ref="L21:L22" si="12">I21*(2^(F21))</f>
        <v>626.68799999999999</v>
      </c>
      <c r="M21" s="1">
        <f>J21*$B$15*$G$6</f>
        <v>1.8379771400661218</v>
      </c>
      <c r="N21" s="1" t="e">
        <f t="shared" si="4"/>
        <v>#VALUE!</v>
      </c>
      <c r="O21" s="1">
        <f t="shared" si="5"/>
        <v>3.3139759121678732E-4</v>
      </c>
      <c r="P21" s="1">
        <f>M21*$J$4</f>
        <v>918.98857003306091</v>
      </c>
      <c r="Q21" s="1" t="e">
        <f t="shared" si="7"/>
        <v>#VALUE!</v>
      </c>
      <c r="R21" s="1">
        <f t="shared" si="8"/>
        <v>0.16569879560839365</v>
      </c>
      <c r="S21" s="1">
        <f>P21/$E$21</f>
        <v>208.07288378107043</v>
      </c>
      <c r="T21" s="1" t="e">
        <f t="shared" ref="T21:U21" si="13">Q21/$E$21</f>
        <v>#VALUE!</v>
      </c>
      <c r="U21" s="1">
        <f t="shared" si="13"/>
        <v>3.7516708439636302E-2</v>
      </c>
      <c r="V21" s="1">
        <f t="shared" si="9"/>
        <v>3</v>
      </c>
    </row>
    <row r="22" spans="1:22" ht="17.25" customHeight="1" x14ac:dyDescent="0.25">
      <c r="A22" s="4">
        <v>4</v>
      </c>
      <c r="B22" s="7" t="s">
        <v>59</v>
      </c>
      <c r="C22" s="3">
        <v>0.49166666666666697</v>
      </c>
      <c r="D22" s="3">
        <v>0.67847222222222225</v>
      </c>
      <c r="E22" s="2">
        <f t="shared" si="2"/>
        <v>4.4833333333333272</v>
      </c>
      <c r="F22">
        <v>9</v>
      </c>
      <c r="G22">
        <v>402.73</v>
      </c>
      <c r="H22" s="1" t="s">
        <v>60</v>
      </c>
      <c r="I22">
        <v>3.9510000000000001</v>
      </c>
      <c r="J22" s="1">
        <f t="shared" si="10"/>
        <v>206197.76000000001</v>
      </c>
      <c r="K22" s="1" t="e">
        <f t="shared" si="11"/>
        <v>#VALUE!</v>
      </c>
      <c r="L22" s="1">
        <f t="shared" si="12"/>
        <v>2022.912</v>
      </c>
      <c r="M22" s="1">
        <f t="shared" ref="M22" si="14">J22*$B$15*$G$6</f>
        <v>0.46810422731999157</v>
      </c>
      <c r="N22" s="1" t="e">
        <f t="shared" ref="N22" si="15">K22*$C$15*$G$6</f>
        <v>#VALUE!</v>
      </c>
      <c r="O22" s="1">
        <f t="shared" ref="O22" si="16">L22*$D$15*$G$6</f>
        <v>1.0697319304718356E-3</v>
      </c>
      <c r="P22" s="1">
        <f t="shared" si="6"/>
        <v>234.0521136599958</v>
      </c>
      <c r="Q22" s="1" t="e">
        <f t="shared" si="7"/>
        <v>#VALUE!</v>
      </c>
      <c r="R22" s="1">
        <f t="shared" si="8"/>
        <v>0.53486596523591778</v>
      </c>
      <c r="S22" s="1">
        <f>P22/$E$22</f>
        <v>52.20493241486902</v>
      </c>
      <c r="T22" s="1" t="e">
        <f t="shared" ref="T22:U22" si="17">Q22/$E$22</f>
        <v>#VALUE!</v>
      </c>
      <c r="U22" s="1">
        <f t="shared" si="17"/>
        <v>0.11930095878868072</v>
      </c>
      <c r="V22" s="1">
        <f t="shared" si="9"/>
        <v>4</v>
      </c>
    </row>
    <row r="23" spans="1:22" x14ac:dyDescent="0.2">
      <c r="A23" s="4">
        <v>10</v>
      </c>
      <c r="B23" s="7" t="s">
        <v>57</v>
      </c>
      <c r="C23" s="3">
        <v>0.50208333333333299</v>
      </c>
      <c r="D23" s="3">
        <v>0.68541666666666667</v>
      </c>
      <c r="E23" s="1">
        <f t="shared" si="2"/>
        <v>4.4000000000000083</v>
      </c>
      <c r="F23" s="1">
        <v>9</v>
      </c>
      <c r="G23" s="1">
        <v>1765.7239999999999</v>
      </c>
      <c r="H23" s="1" t="s">
        <v>60</v>
      </c>
      <c r="I23" s="1">
        <v>1.5840000000000001</v>
      </c>
      <c r="J23" s="1">
        <f t="shared" ref="J23:J26" si="18">G23*(2^(F23))</f>
        <v>904050.68799999997</v>
      </c>
      <c r="K23" s="1" t="e">
        <f t="shared" ref="K23:K26" si="19">H23*(2^(F23))</f>
        <v>#VALUE!</v>
      </c>
      <c r="L23" s="1">
        <f t="shared" ref="L23:L26" si="20">I23*(2^(F23))</f>
        <v>811.00800000000004</v>
      </c>
      <c r="M23" s="1">
        <f t="shared" ref="M23:M26" si="21">J23*$B$15*$G$6</f>
        <v>2.0523498837443563</v>
      </c>
      <c r="N23" s="1" t="e">
        <f t="shared" ref="N23:N26" si="22">K23*$C$15*$G$6</f>
        <v>#VALUE!</v>
      </c>
      <c r="O23" s="1">
        <f t="shared" ref="O23:O26" si="23">L23*$D$15*$G$6</f>
        <v>4.2886747098643072E-4</v>
      </c>
      <c r="P23" s="1">
        <f t="shared" ref="P23:P26" si="24">M23*$J$4</f>
        <v>1026.1749418721781</v>
      </c>
      <c r="Q23" s="1" t="e">
        <f t="shared" ref="Q23:Q26" si="25">N23*$J$4</f>
        <v>#VALUE!</v>
      </c>
      <c r="R23" s="1">
        <f t="shared" ref="R23:R26" si="26">O23*$J$4</f>
        <v>0.21443373549321537</v>
      </c>
      <c r="S23" s="1">
        <f t="shared" ref="S23:S26" si="27">P23/$E$22</f>
        <v>228.88660413505863</v>
      </c>
      <c r="T23" s="1" t="e">
        <f t="shared" ref="T23:T26" si="28">Q23/$E$22</f>
        <v>#VALUE!</v>
      </c>
      <c r="U23" s="1">
        <f t="shared" ref="U23:U26" si="29">R23/$E$22</f>
        <v>4.7829085983616876E-2</v>
      </c>
      <c r="V23" s="1">
        <f t="shared" si="9"/>
        <v>10</v>
      </c>
    </row>
    <row r="24" spans="1:22" x14ac:dyDescent="0.25">
      <c r="A24" s="4">
        <v>8</v>
      </c>
      <c r="B24" s="7" t="s">
        <v>56</v>
      </c>
      <c r="C24" s="3">
        <v>0.51249999999999996</v>
      </c>
      <c r="D24" s="3">
        <v>0.69097222222222221</v>
      </c>
      <c r="E24" s="2">
        <f t="shared" si="2"/>
        <v>4.2833333333333341</v>
      </c>
      <c r="F24" s="1">
        <v>9</v>
      </c>
      <c r="G24">
        <v>692.43100000000004</v>
      </c>
      <c r="H24" s="1" t="s">
        <v>60</v>
      </c>
      <c r="I24" s="1">
        <v>2.3660000000000001</v>
      </c>
      <c r="J24" s="1">
        <f t="shared" si="18"/>
        <v>354524.67200000002</v>
      </c>
      <c r="K24" s="1" t="e">
        <f t="shared" si="19"/>
        <v>#VALUE!</v>
      </c>
      <c r="L24" s="1">
        <f t="shared" si="20"/>
        <v>1211.3920000000001</v>
      </c>
      <c r="M24" s="1">
        <f t="shared" si="21"/>
        <v>0.80483171908576223</v>
      </c>
      <c r="N24" s="1" t="e">
        <f t="shared" si="22"/>
        <v>#VALUE!</v>
      </c>
      <c r="O24" s="1">
        <f t="shared" si="23"/>
        <v>6.4059370981937825E-4</v>
      </c>
      <c r="P24" s="1">
        <f t="shared" si="24"/>
        <v>402.41585954288109</v>
      </c>
      <c r="Q24" s="1" t="e">
        <f t="shared" si="25"/>
        <v>#VALUE!</v>
      </c>
      <c r="R24" s="1">
        <f t="shared" si="26"/>
        <v>0.32029685490968912</v>
      </c>
      <c r="S24" s="1">
        <f t="shared" si="27"/>
        <v>89.758184284657617</v>
      </c>
      <c r="T24" s="1" t="e">
        <f t="shared" si="28"/>
        <v>#VALUE!</v>
      </c>
      <c r="U24" s="1">
        <f t="shared" si="29"/>
        <v>7.1441677675023699E-2</v>
      </c>
      <c r="V24" s="1">
        <f t="shared" si="9"/>
        <v>8</v>
      </c>
    </row>
    <row r="25" spans="1:22" x14ac:dyDescent="0.25">
      <c r="A25" s="4">
        <v>9</v>
      </c>
      <c r="B25" s="7" t="s">
        <v>59</v>
      </c>
      <c r="C25" s="3">
        <v>0.52291666666666703</v>
      </c>
      <c r="D25" s="3">
        <v>0.69791666666666663</v>
      </c>
      <c r="E25" s="2">
        <f>(D25-C25)*24</f>
        <v>4.1999999999999904</v>
      </c>
      <c r="F25" s="1">
        <v>9</v>
      </c>
      <c r="G25">
        <v>574.07399999999996</v>
      </c>
      <c r="H25" s="1" t="s">
        <v>60</v>
      </c>
      <c r="I25" s="1">
        <v>0.49199999999999999</v>
      </c>
      <c r="J25" s="1">
        <f t="shared" si="18"/>
        <v>293925.88799999998</v>
      </c>
      <c r="K25" s="1" t="e">
        <f t="shared" si="19"/>
        <v>#VALUE!</v>
      </c>
      <c r="L25" s="1">
        <f t="shared" si="20"/>
        <v>251.904</v>
      </c>
      <c r="M25" s="1">
        <f t="shared" si="21"/>
        <v>0.66726210164253164</v>
      </c>
      <c r="N25" s="1" t="e">
        <f t="shared" si="22"/>
        <v>#VALUE!</v>
      </c>
      <c r="O25" s="1">
        <f t="shared" si="23"/>
        <v>1.3320883568517921E-4</v>
      </c>
      <c r="P25" s="1">
        <f t="shared" si="24"/>
        <v>333.63105082126583</v>
      </c>
      <c r="Q25" s="1" t="e">
        <f t="shared" si="25"/>
        <v>#VALUE!</v>
      </c>
      <c r="R25" s="1">
        <f t="shared" si="26"/>
        <v>6.6604417842589608E-2</v>
      </c>
      <c r="S25" s="1">
        <f t="shared" si="27"/>
        <v>74.415847766825195</v>
      </c>
      <c r="T25" s="1" t="e">
        <f t="shared" si="28"/>
        <v>#VALUE!</v>
      </c>
      <c r="U25" s="1">
        <f t="shared" si="29"/>
        <v>1.4856003979759785E-2</v>
      </c>
      <c r="V25" s="1">
        <f t="shared" si="9"/>
        <v>9</v>
      </c>
    </row>
    <row r="26" spans="1:22" x14ac:dyDescent="0.25">
      <c r="A26" s="4">
        <v>7</v>
      </c>
      <c r="B26" s="7" t="s">
        <v>58</v>
      </c>
      <c r="C26" s="3">
        <v>0.53333333333333299</v>
      </c>
      <c r="D26" s="3">
        <v>0.70972222222222225</v>
      </c>
      <c r="E26" s="2">
        <f t="shared" si="2"/>
        <v>4.2333333333333423</v>
      </c>
      <c r="F26" s="1">
        <v>9</v>
      </c>
      <c r="G26">
        <v>1248.0989999999999</v>
      </c>
      <c r="H26" s="1" t="s">
        <v>60</v>
      </c>
      <c r="I26" s="1">
        <v>1.0660000000000001</v>
      </c>
      <c r="J26" s="1">
        <f t="shared" si="18"/>
        <v>639026.68799999997</v>
      </c>
      <c r="K26" s="1" t="e">
        <f t="shared" si="19"/>
        <v>#VALUE!</v>
      </c>
      <c r="L26" s="1">
        <f t="shared" si="20"/>
        <v>545.79200000000003</v>
      </c>
      <c r="M26" s="1">
        <f t="shared" si="21"/>
        <v>1.4507000174157725</v>
      </c>
      <c r="N26" s="1" t="e">
        <f t="shared" si="22"/>
        <v>#VALUE!</v>
      </c>
      <c r="O26" s="1">
        <f t="shared" si="23"/>
        <v>2.8861914398455501E-4</v>
      </c>
      <c r="P26" s="1">
        <f t="shared" si="24"/>
        <v>725.35000870788622</v>
      </c>
      <c r="Q26" s="1" t="e">
        <f t="shared" si="25"/>
        <v>#VALUE!</v>
      </c>
      <c r="R26" s="1">
        <f t="shared" si="26"/>
        <v>0.14430957199227751</v>
      </c>
      <c r="S26" s="1">
        <f t="shared" si="27"/>
        <v>161.78810603149901</v>
      </c>
      <c r="T26" s="1" t="e">
        <f t="shared" si="28"/>
        <v>#VALUE!</v>
      </c>
      <c r="U26" s="1">
        <f t="shared" si="29"/>
        <v>3.2188008622812868E-2</v>
      </c>
      <c r="V26" s="1">
        <f t="shared" si="9"/>
        <v>7</v>
      </c>
    </row>
    <row r="27" spans="1:22" x14ac:dyDescent="0.25">
      <c r="G27"/>
    </row>
    <row r="28" spans="1:22" x14ac:dyDescent="0.25">
      <c r="G28"/>
    </row>
    <row r="29" spans="1:22" ht="30" x14ac:dyDescent="0.2">
      <c r="A29" s="4" t="s">
        <v>50</v>
      </c>
      <c r="B29" s="5" t="s">
        <v>51</v>
      </c>
      <c r="C29" s="5" t="s">
        <v>42</v>
      </c>
      <c r="D29" s="6" t="s">
        <v>52</v>
      </c>
      <c r="E29" s="6" t="s">
        <v>53</v>
      </c>
      <c r="F29" s="1" t="s">
        <v>62</v>
      </c>
      <c r="I29" s="1" t="s">
        <v>63</v>
      </c>
    </row>
    <row r="30" spans="1:22" x14ac:dyDescent="0.2">
      <c r="A30" s="4">
        <v>1</v>
      </c>
      <c r="B30" s="4">
        <v>1</v>
      </c>
      <c r="C30" s="7" t="s">
        <v>56</v>
      </c>
      <c r="D30" s="8" t="s">
        <v>55</v>
      </c>
      <c r="E30" s="7" t="s">
        <v>54</v>
      </c>
      <c r="F30" s="1">
        <f>S19</f>
        <v>61.133404916645539</v>
      </c>
      <c r="G30" s="1">
        <f>AVERAGE(F30,F35)</f>
        <v>75.445794600651581</v>
      </c>
      <c r="H30" s="1">
        <f>_xlfn.STDEV.P(F30,F35)</f>
        <v>14.312389684006028</v>
      </c>
      <c r="I30" s="1">
        <v>2.855457996350692E-2</v>
      </c>
      <c r="J30" s="1">
        <f>AVERAGE(I30,I35)</f>
        <v>4.9998128819265311E-2</v>
      </c>
      <c r="K30" s="1">
        <f>_xlfn.STDEV.P(I30,I35)</f>
        <v>2.1443548855758391E-2</v>
      </c>
    </row>
    <row r="31" spans="1:22" x14ac:dyDescent="0.2">
      <c r="A31" s="4">
        <v>2</v>
      </c>
      <c r="B31" s="4">
        <v>2</v>
      </c>
      <c r="C31" s="7" t="s">
        <v>57</v>
      </c>
      <c r="D31" s="8" t="s">
        <v>55</v>
      </c>
      <c r="E31" s="7" t="s">
        <v>54</v>
      </c>
      <c r="F31" s="1">
        <f t="shared" ref="F31:F37" si="30">S20</f>
        <v>238.73769702720796</v>
      </c>
      <c r="G31" s="1">
        <f>AVERAGE(F31,F34)</f>
        <v>233.8121505811333</v>
      </c>
      <c r="H31" s="1">
        <f>_xlfn.STDEV.P(F31,F34)</f>
        <v>4.9255464460746623</v>
      </c>
      <c r="I31" s="1">
        <v>6.292595686277741E-2</v>
      </c>
      <c r="J31" s="1">
        <f>AVERAGE(I31,I34)</f>
        <v>5.5377521423197143E-2</v>
      </c>
      <c r="K31" s="1">
        <f>_xlfn.STDEV.P(I31,I34)</f>
        <v>7.548435439580262E-3</v>
      </c>
    </row>
    <row r="32" spans="1:22" x14ac:dyDescent="0.2">
      <c r="A32" s="4">
        <v>3</v>
      </c>
      <c r="B32" s="4">
        <v>3</v>
      </c>
      <c r="C32" s="7" t="s">
        <v>58</v>
      </c>
      <c r="D32" s="8" t="s">
        <v>55</v>
      </c>
      <c r="E32" s="7" t="s">
        <v>54</v>
      </c>
      <c r="F32" s="1">
        <f t="shared" si="30"/>
        <v>208.07288378107043</v>
      </c>
      <c r="G32" s="1">
        <f>AVERAGE(F32,F37)</f>
        <v>184.93049490628471</v>
      </c>
      <c r="H32" s="1">
        <f>_xlfn.STDEV.P(F32,F37)</f>
        <v>23.142388874785873</v>
      </c>
      <c r="I32" s="1">
        <v>3.7516708439636302E-2</v>
      </c>
      <c r="J32" s="1">
        <f>AVERAGE(I32,I37)</f>
        <v>3.4852358531224585E-2</v>
      </c>
      <c r="K32" s="1">
        <f>_xlfn.STDEV.P(I32,I37)</f>
        <v>2.6643499084117173E-3</v>
      </c>
    </row>
    <row r="33" spans="1:11" x14ac:dyDescent="0.2">
      <c r="A33" s="4">
        <v>4</v>
      </c>
      <c r="B33" s="4">
        <v>4</v>
      </c>
      <c r="C33" s="7" t="s">
        <v>59</v>
      </c>
      <c r="D33" s="8" t="s">
        <v>55</v>
      </c>
      <c r="E33" s="7" t="s">
        <v>54</v>
      </c>
      <c r="F33" s="1">
        <f t="shared" si="30"/>
        <v>52.20493241486902</v>
      </c>
      <c r="G33" s="1">
        <f>AVERAGE(F33,F36)</f>
        <v>63.310390090847108</v>
      </c>
      <c r="H33" s="1">
        <f>_xlfn.STDEV.P(F33,F36)</f>
        <v>11.105457675978105</v>
      </c>
      <c r="I33" s="1">
        <v>0.11930095878868072</v>
      </c>
      <c r="J33" s="1">
        <f>AVERAGE(I33,I36)</f>
        <v>6.7078481384220248E-2</v>
      </c>
      <c r="K33" s="1">
        <f>_xlfn.STDEV.P(I33,I36)</f>
        <v>5.2222477404460461E-2</v>
      </c>
    </row>
    <row r="34" spans="1:11" x14ac:dyDescent="0.2">
      <c r="A34" s="4">
        <v>5</v>
      </c>
      <c r="B34" s="4">
        <v>10</v>
      </c>
      <c r="C34" s="7" t="s">
        <v>57</v>
      </c>
      <c r="D34" s="8" t="s">
        <v>55</v>
      </c>
      <c r="E34" s="7" t="s">
        <v>54</v>
      </c>
      <c r="F34" s="1">
        <f t="shared" si="30"/>
        <v>228.88660413505863</v>
      </c>
      <c r="I34" s="1">
        <v>4.7829085983616876E-2</v>
      </c>
    </row>
    <row r="35" spans="1:11" x14ac:dyDescent="0.2">
      <c r="A35" s="4">
        <v>6</v>
      </c>
      <c r="B35" s="4">
        <v>8</v>
      </c>
      <c r="C35" s="7" t="s">
        <v>56</v>
      </c>
      <c r="D35" s="8" t="s">
        <v>55</v>
      </c>
      <c r="E35" s="7" t="s">
        <v>54</v>
      </c>
      <c r="F35" s="1">
        <f t="shared" si="30"/>
        <v>89.758184284657617</v>
      </c>
      <c r="I35" s="1">
        <v>7.1441677675023699E-2</v>
      </c>
    </row>
    <row r="36" spans="1:11" x14ac:dyDescent="0.2">
      <c r="A36" s="4">
        <v>7</v>
      </c>
      <c r="B36" s="4">
        <v>9</v>
      </c>
      <c r="C36" s="7" t="s">
        <v>59</v>
      </c>
      <c r="D36" s="8" t="s">
        <v>55</v>
      </c>
      <c r="E36" s="7" t="s">
        <v>54</v>
      </c>
      <c r="F36" s="1">
        <f t="shared" si="30"/>
        <v>74.415847766825195</v>
      </c>
      <c r="I36" s="1">
        <v>1.4856003979759785E-2</v>
      </c>
    </row>
    <row r="37" spans="1:11" x14ac:dyDescent="0.2">
      <c r="A37" s="4">
        <v>8</v>
      </c>
      <c r="B37" s="4">
        <v>7</v>
      </c>
      <c r="C37" s="7" t="s">
        <v>58</v>
      </c>
      <c r="D37" s="8" t="s">
        <v>55</v>
      </c>
      <c r="E37" s="7" t="s">
        <v>54</v>
      </c>
      <c r="F37" s="1">
        <f t="shared" si="30"/>
        <v>161.78810603149901</v>
      </c>
      <c r="I37" s="1">
        <v>3.2188008622812868E-2</v>
      </c>
    </row>
  </sheetData>
  <mergeCells count="6">
    <mergeCell ref="I2:I3"/>
    <mergeCell ref="A17:C17"/>
    <mergeCell ref="B5:D5"/>
    <mergeCell ref="B7:D7"/>
    <mergeCell ref="H9:O15"/>
    <mergeCell ref="H8:O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Piercy, Verity</dc:creator>
  <cp:lastModifiedBy>Piercy, Verity</cp:lastModifiedBy>
  <dcterms:created xsi:type="dcterms:W3CDTF">2016-12-20T10:52:31Z</dcterms:created>
  <dcterms:modified xsi:type="dcterms:W3CDTF">2019-08-20T17:44:11Z</dcterms:modified>
</cp:coreProperties>
</file>